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<sst xmlns="http://schemas.openxmlformats.org/spreadsheetml/2006/main" count="2034" uniqueCount="290">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</sst>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0"/>
      <sheetName val="депозит"/>
      <sheetName val="залишки  (2)"/>
      <sheetName val="надх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опад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7735344.789999999</v>
          </cell>
        </row>
      </sheetData>
      <sheetData sheetId="22">
        <row r="28">
          <cell r="C28">
            <v>4870376.3</v>
          </cell>
        </row>
      </sheetData>
      <sheetData sheetId="23">
        <row r="28">
          <cell r="C28">
            <v>3219411</v>
          </cell>
        </row>
      </sheetData>
      <sheetData sheetId="24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47" sqref="H14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282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279</v>
      </c>
      <c r="H4" s="200" t="s">
        <v>280</v>
      </c>
      <c r="I4" s="202" t="s">
        <v>188</v>
      </c>
      <c r="J4" s="204" t="s">
        <v>189</v>
      </c>
      <c r="K4" s="206" t="s">
        <v>285</v>
      </c>
      <c r="L4" s="207"/>
      <c r="M4" s="194"/>
      <c r="N4" s="181" t="s">
        <v>289</v>
      </c>
      <c r="O4" s="202" t="s">
        <v>136</v>
      </c>
      <c r="P4" s="202" t="s">
        <v>135</v>
      </c>
      <c r="Q4" s="206" t="s">
        <v>287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278</v>
      </c>
      <c r="F5" s="197"/>
      <c r="G5" s="199"/>
      <c r="H5" s="201"/>
      <c r="I5" s="203"/>
      <c r="J5" s="205"/>
      <c r="K5" s="208"/>
      <c r="L5" s="209"/>
      <c r="M5" s="151" t="s">
        <v>281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378247.55999999994</v>
      </c>
      <c r="G8" s="22">
        <f aca="true" t="shared" si="0" ref="G8:G30">F8-E8</f>
        <v>-12756.079999999958</v>
      </c>
      <c r="H8" s="51">
        <f>F8/E8*100</f>
        <v>96.73760581870799</v>
      </c>
      <c r="I8" s="36">
        <f aca="true" t="shared" si="1" ref="I8:I17">F8-D8</f>
        <v>-110228.74000000005</v>
      </c>
      <c r="J8" s="36">
        <f aca="true" t="shared" si="2" ref="J8:J14">F8/D8*100</f>
        <v>77.43416824930912</v>
      </c>
      <c r="K8" s="36">
        <f>F8-381548.5</f>
        <v>-3300.9400000000605</v>
      </c>
      <c r="L8" s="136">
        <f>F8/381548.5</f>
        <v>0.9913485703652352</v>
      </c>
      <c r="M8" s="22">
        <f>M10+M19+M33+M56+M68+M30</f>
        <v>39644.799999999974</v>
      </c>
      <c r="N8" s="22">
        <f>N10+N19+N33+N56+N68+N30</f>
        <v>29957.509999999995</v>
      </c>
      <c r="O8" s="36">
        <f aca="true" t="shared" si="3" ref="O8:O71">N8-M8</f>
        <v>-9687.289999999979</v>
      </c>
      <c r="P8" s="36">
        <f>F8/M8*100</f>
        <v>954.0912301234972</v>
      </c>
      <c r="Q8" s="36">
        <f>N8-37261.3</f>
        <v>-7303.790000000008</v>
      </c>
      <c r="R8" s="134">
        <f>N8/37261.3</f>
        <v>0.8039845630721417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308518.67</v>
      </c>
      <c r="G9" s="22">
        <f t="shared" si="0"/>
        <v>308518.67</v>
      </c>
      <c r="H9" s="20"/>
      <c r="I9" s="56">
        <f t="shared" si="1"/>
        <v>-78494.53000000003</v>
      </c>
      <c r="J9" s="56">
        <f t="shared" si="2"/>
        <v>79.71786750426084</v>
      </c>
      <c r="K9" s="56"/>
      <c r="L9" s="135"/>
      <c r="M9" s="20">
        <f>M10+M17</f>
        <v>32246.599999999977</v>
      </c>
      <c r="N9" s="20">
        <f>N10+N17</f>
        <v>25904.98999999999</v>
      </c>
      <c r="O9" s="36">
        <f t="shared" si="3"/>
        <v>-6341.609999999986</v>
      </c>
      <c r="P9" s="56">
        <f>F9/M9*100</f>
        <v>956.7479052055107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308518.67</v>
      </c>
      <c r="G10" s="49">
        <f t="shared" si="0"/>
        <v>-11187.429999999993</v>
      </c>
      <c r="H10" s="40">
        <f aca="true" t="shared" si="4" ref="H10:H17">F10/E10*100</f>
        <v>96.50071424974375</v>
      </c>
      <c r="I10" s="56">
        <f t="shared" si="1"/>
        <v>-78494.53000000003</v>
      </c>
      <c r="J10" s="56">
        <f t="shared" si="2"/>
        <v>79.71786750426084</v>
      </c>
      <c r="K10" s="141">
        <f>F10-302092.5</f>
        <v>6426.169999999984</v>
      </c>
      <c r="L10" s="142">
        <f>F10/302092.5</f>
        <v>1.0212721931196571</v>
      </c>
      <c r="M10" s="40">
        <f>E10-вересень!E10</f>
        <v>32246.599999999977</v>
      </c>
      <c r="N10" s="40">
        <f>F10-вересень!F10</f>
        <v>25904.98999999999</v>
      </c>
      <c r="O10" s="53">
        <f t="shared" si="3"/>
        <v>-6341.609999999986</v>
      </c>
      <c r="P10" s="56">
        <f aca="true" t="shared" si="5" ref="P10:P17">N10/M10*100</f>
        <v>80.33401971060518</v>
      </c>
      <c r="Q10" s="141">
        <f>N10-29418.1</f>
        <v>-3513.110000000008</v>
      </c>
      <c r="R10" s="142">
        <f>N10/29418.1</f>
        <v>0.8805799830716461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65264.44</v>
      </c>
      <c r="G33" s="49">
        <f aca="true" t="shared" si="14" ref="G33:G72">F33-E33</f>
        <v>728.6000000000058</v>
      </c>
      <c r="H33" s="40">
        <f aca="true" t="shared" si="15" ref="H33:H67">F33/E33*100</f>
        <v>101.12898507248067</v>
      </c>
      <c r="I33" s="56">
        <f>F33-D33</f>
        <v>-28301.559999999998</v>
      </c>
      <c r="J33" s="56">
        <f aca="true" t="shared" si="16" ref="J33:J72">F33/D33*100</f>
        <v>69.75230318705513</v>
      </c>
      <c r="K33" s="141">
        <f>F33-67415.8</f>
        <v>-2151.3600000000006</v>
      </c>
      <c r="L33" s="142">
        <f>F33/67415.8</f>
        <v>0.968088192975534</v>
      </c>
      <c r="M33" s="40">
        <f>E33-вересень!E33</f>
        <v>6833.699999999997</v>
      </c>
      <c r="N33" s="40">
        <f>F33-вересень!F33</f>
        <v>4031.980000000003</v>
      </c>
      <c r="O33" s="53">
        <f t="shared" si="3"/>
        <v>-2801.719999999994</v>
      </c>
      <c r="P33" s="56">
        <f aca="true" t="shared" si="17" ref="P33:P67">N33/M33*100</f>
        <v>59.00141943603033</v>
      </c>
      <c r="Q33" s="141">
        <f>N33-7002.6</f>
        <v>-2970.619999999997</v>
      </c>
      <c r="R33" s="142">
        <f>N33/7002.6</f>
        <v>0.5757832804958163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48740.34</v>
      </c>
      <c r="G55" s="144">
        <f t="shared" si="14"/>
        <v>1334.7999999999956</v>
      </c>
      <c r="H55" s="146">
        <f t="shared" si="15"/>
        <v>102.81570466236644</v>
      </c>
      <c r="I55" s="145">
        <f t="shared" si="18"/>
        <v>-21525.660000000003</v>
      </c>
      <c r="J55" s="145">
        <f t="shared" si="16"/>
        <v>69.36546836307744</v>
      </c>
      <c r="K55" s="148">
        <f>F55-49156.62</f>
        <v>-416.2800000000061</v>
      </c>
      <c r="L55" s="149">
        <f>F55/49156.62</f>
        <v>0.9915315577027061</v>
      </c>
      <c r="M55" s="40">
        <f>E55-вересень!E55</f>
        <v>4933.700000000004</v>
      </c>
      <c r="N55" s="40">
        <f>F55-вересень!F55</f>
        <v>3318.939999999995</v>
      </c>
      <c r="O55" s="148">
        <f t="shared" si="3"/>
        <v>-1614.7600000000093</v>
      </c>
      <c r="P55" s="148">
        <f t="shared" si="17"/>
        <v>67.2708109532398</v>
      </c>
      <c r="Q55" s="160">
        <f>N55-5343.11</f>
        <v>-2024.1700000000046</v>
      </c>
      <c r="R55" s="161">
        <f>N55/5343.11</f>
        <v>0.6211625813430746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1.51+5338.94</f>
        <v>5340.45</v>
      </c>
      <c r="G56" s="49">
        <f t="shared" si="14"/>
        <v>-326.0500000000002</v>
      </c>
      <c r="H56" s="40">
        <f t="shared" si="15"/>
        <v>94.24600723550692</v>
      </c>
      <c r="I56" s="56">
        <f t="shared" si="18"/>
        <v>-1519.5500000000002</v>
      </c>
      <c r="J56" s="56">
        <f t="shared" si="16"/>
        <v>77.84912536443149</v>
      </c>
      <c r="K56" s="56">
        <f>F56-5173.5</f>
        <v>166.94999999999982</v>
      </c>
      <c r="L56" s="135">
        <f>F56/5173.5</f>
        <v>1.032270223253117</v>
      </c>
      <c r="M56" s="40">
        <f>E56-вересень!E56</f>
        <v>553</v>
      </c>
      <c r="N56" s="40">
        <f>F56-вересень!F56</f>
        <v>496.91999999999916</v>
      </c>
      <c r="O56" s="53">
        <f t="shared" si="3"/>
        <v>-56.08000000000084</v>
      </c>
      <c r="P56" s="56">
        <f t="shared" si="17"/>
        <v>89.85895117540672</v>
      </c>
      <c r="Q56" s="56">
        <f>N56-479</f>
        <v>17.919999999999163</v>
      </c>
      <c r="R56" s="135">
        <f>N56/479</f>
        <v>1.0374112734864283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F68-(-2)</f>
        <v>3.54</v>
      </c>
      <c r="L68" s="135"/>
      <c r="M68" s="40">
        <f>E68-вересень!E68</f>
        <v>0</v>
      </c>
      <c r="N68" s="40">
        <f>F68-вересень!F68</f>
        <v>0</v>
      </c>
      <c r="O68" s="53">
        <f t="shared" si="3"/>
        <v>0</v>
      </c>
      <c r="P68" s="56"/>
      <c r="Q68" s="56">
        <f>N68-(-0.3)</f>
        <v>0.3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10759.23</v>
      </c>
      <c r="G74" s="50">
        <f aca="true" t="shared" si="24" ref="G74:G92">F74-E74</f>
        <v>-2937.2700000000004</v>
      </c>
      <c r="H74" s="51">
        <f aca="true" t="shared" si="25" ref="H74:H87">F74/E74*100</f>
        <v>78.55459423940422</v>
      </c>
      <c r="I74" s="36">
        <f aca="true" t="shared" si="26" ref="I74:I92">F74-D74</f>
        <v>-7599.07</v>
      </c>
      <c r="J74" s="36">
        <f aca="true" t="shared" si="27" ref="J74:J92">F74/D74*100</f>
        <v>58.60689715278647</v>
      </c>
      <c r="K74" s="36">
        <f>F74-16325.3</f>
        <v>-5566.07</v>
      </c>
      <c r="L74" s="136">
        <f>F74/16325.3</f>
        <v>0.6590525135832114</v>
      </c>
      <c r="M74" s="22">
        <f>M77+M86+M88+M89+M94+M95+M96+M97+M99+M87+M104</f>
        <v>1516.5</v>
      </c>
      <c r="N74" s="22">
        <f>N77+N86+N88+N89+N94+N95+N96+N97+N99+N32+N104+N87+N103</f>
        <v>999.7969999999996</v>
      </c>
      <c r="O74" s="55">
        <f aca="true" t="shared" si="28" ref="O74:O92">N74-M74</f>
        <v>-516.7030000000004</v>
      </c>
      <c r="P74" s="36">
        <f>N74/M74*100</f>
        <v>65.92792614573028</v>
      </c>
      <c r="Q74" s="36">
        <f>N74-1739.9</f>
        <v>-740.1030000000005</v>
      </c>
      <c r="R74" s="136">
        <f>N74/1739.9</f>
        <v>0.5746290016667622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111.37</v>
      </c>
      <c r="G89" s="49">
        <f t="shared" si="24"/>
        <v>-32.629999999999995</v>
      </c>
      <c r="H89" s="40">
        <f>F89/E89*100</f>
        <v>77.34027777777777</v>
      </c>
      <c r="I89" s="56">
        <f t="shared" si="26"/>
        <v>-63.629999999999995</v>
      </c>
      <c r="J89" s="56">
        <f t="shared" si="27"/>
        <v>63.64000000000001</v>
      </c>
      <c r="K89" s="56">
        <f>F89-137.6</f>
        <v>-26.22999999999999</v>
      </c>
      <c r="L89" s="135">
        <f>F89/137.6</f>
        <v>0.8093750000000001</v>
      </c>
      <c r="M89" s="40">
        <f>E89-вересень!E89</f>
        <v>15</v>
      </c>
      <c r="N89" s="40">
        <f>F89-вересень!F89</f>
        <v>13.420000000000002</v>
      </c>
      <c r="O89" s="53">
        <f t="shared" si="28"/>
        <v>-1.5799999999999983</v>
      </c>
      <c r="P89" s="56">
        <f>N89/M89*100</f>
        <v>89.46666666666668</v>
      </c>
      <c r="Q89" s="56">
        <f>N89-14.4</f>
        <v>-0.9799999999999986</v>
      </c>
      <c r="R89" s="135">
        <f>N89/14.4</f>
        <v>0.9319444444444446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859.65</v>
      </c>
      <c r="G96" s="49">
        <f t="shared" si="31"/>
        <v>-44.85000000000002</v>
      </c>
      <c r="H96" s="40">
        <f>F96/E96*100</f>
        <v>95.04145936981757</v>
      </c>
      <c r="I96" s="56">
        <f t="shared" si="32"/>
        <v>-340.35</v>
      </c>
      <c r="J96" s="56">
        <f>F96/D96*100</f>
        <v>71.6375</v>
      </c>
      <c r="K96" s="56">
        <f>F96-930</f>
        <v>-70.35000000000002</v>
      </c>
      <c r="L96" s="135">
        <f>F96/930</f>
        <v>0.9243548387096774</v>
      </c>
      <c r="M96" s="40">
        <f>E96-вересень!E96</f>
        <v>110</v>
      </c>
      <c r="N96" s="40">
        <f>F96-вересень!F96</f>
        <v>77.26999999999998</v>
      </c>
      <c r="O96" s="53">
        <f t="shared" si="33"/>
        <v>-32.73000000000002</v>
      </c>
      <c r="P96" s="56">
        <f>N96/M96*100</f>
        <v>70.24545454545454</v>
      </c>
      <c r="Q96" s="56">
        <f>N96-134.5</f>
        <v>-57.23000000000002</v>
      </c>
      <c r="R96" s="135">
        <f>N96/134.5</f>
        <v>0.5744981412639404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3423.86</v>
      </c>
      <c r="G99" s="49">
        <f t="shared" si="31"/>
        <v>86.86000000000013</v>
      </c>
      <c r="H99" s="40">
        <f>F99/E99*100</f>
        <v>102.6029367695535</v>
      </c>
      <c r="I99" s="56">
        <f t="shared" si="32"/>
        <v>-1148.8399999999997</v>
      </c>
      <c r="J99" s="56">
        <f>F99/D99*100</f>
        <v>74.87611258118835</v>
      </c>
      <c r="K99" s="56">
        <f>F99-3845.9</f>
        <v>-422.03999999999996</v>
      </c>
      <c r="L99" s="135">
        <f>F99/3845.9</f>
        <v>0.8902623573155828</v>
      </c>
      <c r="M99" s="40">
        <f>E99-вересень!E99</f>
        <v>330</v>
      </c>
      <c r="N99" s="40">
        <f>F99-вересень!F99</f>
        <v>330.02700000000004</v>
      </c>
      <c r="O99" s="53">
        <f t="shared" si="33"/>
        <v>0.027000000000043656</v>
      </c>
      <c r="P99" s="56">
        <f>N99/M99*100</f>
        <v>100.00818181818182</v>
      </c>
      <c r="Q99" s="56">
        <f>N99-434.7</f>
        <v>-104.67299999999994</v>
      </c>
      <c r="R99" s="135">
        <f>N99/434.7</f>
        <v>0.7592063492063493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832.5</v>
      </c>
      <c r="G102" s="144"/>
      <c r="H102" s="146"/>
      <c r="I102" s="145"/>
      <c r="J102" s="145"/>
      <c r="K102" s="148">
        <f>F102-647.5</f>
        <v>185</v>
      </c>
      <c r="L102" s="149">
        <f>F102/647.5</f>
        <v>1.2857142857142858</v>
      </c>
      <c r="M102" s="40">
        <f>E102-вересень!E102</f>
        <v>0</v>
      </c>
      <c r="N102" s="40">
        <f>F102-вересень!F102</f>
        <v>74.10000000000002</v>
      </c>
      <c r="O102" s="53"/>
      <c r="P102" s="60"/>
      <c r="Q102" s="60">
        <f>N102-103.3</f>
        <v>-29.199999999999974</v>
      </c>
      <c r="R102" s="138">
        <f>N102/103.3</f>
        <v>0.7173281703775414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-44.870000000000005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20.63</v>
      </c>
      <c r="G105" s="49">
        <f>F105-E105</f>
        <v>-6.57</v>
      </c>
      <c r="H105" s="40">
        <f>F105/E105*100</f>
        <v>75.84558823529412</v>
      </c>
      <c r="I105" s="56">
        <f t="shared" si="34"/>
        <v>-24.37</v>
      </c>
      <c r="J105" s="56">
        <f aca="true" t="shared" si="36" ref="J105:J110">F105/D105*100</f>
        <v>45.84444444444444</v>
      </c>
      <c r="K105" s="56">
        <f>F105-17.2</f>
        <v>3.4299999999999997</v>
      </c>
      <c r="L105" s="135">
        <f>F105/17.2</f>
        <v>1.1994186046511628</v>
      </c>
      <c r="M105" s="40">
        <f>E105-вересень!E105</f>
        <v>3</v>
      </c>
      <c r="N105" s="40">
        <f>F105-вересень!F105</f>
        <v>0.7300000000000004</v>
      </c>
      <c r="O105" s="53">
        <f t="shared" si="35"/>
        <v>-2.2699999999999996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389027.7899999999</v>
      </c>
      <c r="G107" s="175">
        <f>F107-E107</f>
        <v>-15699.549999999988</v>
      </c>
      <c r="H107" s="51">
        <f>F107/E107*100</f>
        <v>96.12095639498928</v>
      </c>
      <c r="I107" s="36">
        <f t="shared" si="34"/>
        <v>-117851.81000000006</v>
      </c>
      <c r="J107" s="36">
        <f t="shared" si="36"/>
        <v>76.74954565147225</v>
      </c>
      <c r="K107" s="36">
        <f>F107-397893.6</f>
        <v>-8865.810000000056</v>
      </c>
      <c r="L107" s="136">
        <f>F107/397893.6</f>
        <v>0.9777181387184914</v>
      </c>
      <c r="M107" s="22">
        <f>M8+M74+M105+M106</f>
        <v>41164.299999999974</v>
      </c>
      <c r="N107" s="22">
        <f>N8+N74+N105+N106</f>
        <v>30958.036999999993</v>
      </c>
      <c r="O107" s="55">
        <f t="shared" si="35"/>
        <v>-10206.26299999998</v>
      </c>
      <c r="P107" s="36">
        <f>N107/M107*100</f>
        <v>75.20603289743786</v>
      </c>
      <c r="Q107" s="36">
        <f>N107-39005.1</f>
        <v>-8047.063000000006</v>
      </c>
      <c r="R107" s="136">
        <f>N107/39005.1</f>
        <v>0.7936920300165874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309378.32</v>
      </c>
      <c r="G108" s="153">
        <f>G10-G18+G96</f>
        <v>-11232.279999999993</v>
      </c>
      <c r="H108" s="72">
        <f>F108/E108*100</f>
        <v>96.49659743002884</v>
      </c>
      <c r="I108" s="52">
        <f t="shared" si="34"/>
        <v>-78834.88</v>
      </c>
      <c r="J108" s="52">
        <f t="shared" si="36"/>
        <v>79.69289040145982</v>
      </c>
      <c r="K108" s="52">
        <f>F108-303111.5</f>
        <v>6266.820000000007</v>
      </c>
      <c r="L108" s="137">
        <f>F108/303111.5</f>
        <v>1.020674966142822</v>
      </c>
      <c r="M108" s="71">
        <f>M10-M18+M96</f>
        <v>32356.599999999977</v>
      </c>
      <c r="N108" s="71">
        <f>N10-N18+N96</f>
        <v>25982.25999999999</v>
      </c>
      <c r="O108" s="53">
        <f t="shared" si="35"/>
        <v>-6374.339999999986</v>
      </c>
      <c r="P108" s="52">
        <f>N108/M108*100</f>
        <v>80.29972246775004</v>
      </c>
      <c r="Q108" s="52">
        <f>N108-29552.7</f>
        <v>-3570.4400000000096</v>
      </c>
      <c r="R108" s="137">
        <f>N108/29552.7</f>
        <v>0.879183966270425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79649.46999999991</v>
      </c>
      <c r="G109" s="176">
        <f>F109-E109</f>
        <v>-4467.270000000019</v>
      </c>
      <c r="H109" s="72">
        <f>F109/E109*100</f>
        <v>94.68920217307516</v>
      </c>
      <c r="I109" s="52">
        <f t="shared" si="34"/>
        <v>-39016.93000000005</v>
      </c>
      <c r="J109" s="52">
        <f t="shared" si="36"/>
        <v>67.12049072020382</v>
      </c>
      <c r="K109" s="52">
        <f>F109-94782.1</f>
        <v>-15132.630000000092</v>
      </c>
      <c r="L109" s="137">
        <f>F109/94782.1</f>
        <v>0.8403429550516386</v>
      </c>
      <c r="M109" s="71">
        <f>M107-M108</f>
        <v>8807.699999999997</v>
      </c>
      <c r="N109" s="71">
        <f>N107-N108</f>
        <v>4975.777000000002</v>
      </c>
      <c r="O109" s="53">
        <f t="shared" si="35"/>
        <v>-3831.922999999995</v>
      </c>
      <c r="P109" s="52">
        <f>N109/M109*100</f>
        <v>56.49348865197502</v>
      </c>
      <c r="Q109" s="52">
        <f>N109-9452.4</f>
        <v>-4476.622999999998</v>
      </c>
      <c r="R109" s="137">
        <f>N109/9452.4</f>
        <v>0.5264035588845163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309378.32</v>
      </c>
      <c r="G110" s="111">
        <f>F110-E110</f>
        <v>-5862.380000000005</v>
      </c>
      <c r="H110" s="72">
        <f>F110/E110*100</f>
        <v>98.14034799440554</v>
      </c>
      <c r="I110" s="81">
        <f t="shared" si="34"/>
        <v>-78834.88</v>
      </c>
      <c r="J110" s="52">
        <f t="shared" si="36"/>
        <v>79.69289040145982</v>
      </c>
      <c r="K110" s="52"/>
      <c r="L110" s="137"/>
      <c r="M110" s="72">
        <f>E110-вересень!E110</f>
        <v>32356.600000000035</v>
      </c>
      <c r="N110" s="71">
        <f>N108</f>
        <v>25982.25999999999</v>
      </c>
      <c r="O110" s="63">
        <f t="shared" si="35"/>
        <v>-6374.340000000044</v>
      </c>
      <c r="P110" s="52">
        <f>N110/M110*100</f>
        <v>80.2997224677499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1304.6</v>
      </c>
      <c r="G115" s="49">
        <f t="shared" si="37"/>
        <v>-1702.4</v>
      </c>
      <c r="H115" s="40">
        <f aca="true" t="shared" si="39" ref="H115:H126">F115/E115*100</f>
        <v>43.385433987362816</v>
      </c>
      <c r="I115" s="60">
        <f t="shared" si="38"/>
        <v>-2366.9</v>
      </c>
      <c r="J115" s="60">
        <f aca="true" t="shared" si="40" ref="J115:J121">F115/D115*100</f>
        <v>35.53316083344682</v>
      </c>
      <c r="K115" s="60">
        <f>F115-3128</f>
        <v>-1823.4</v>
      </c>
      <c r="L115" s="138">
        <f>F115/3128</f>
        <v>0.4170716112531969</v>
      </c>
      <c r="M115" s="40">
        <f>E115-вересень!E115</f>
        <v>327.4000000000001</v>
      </c>
      <c r="N115" s="40">
        <f>F115-вересень!F115</f>
        <v>181.66999999999985</v>
      </c>
      <c r="O115" s="53">
        <f aca="true" t="shared" si="41" ref="O115:O126">N115-M115</f>
        <v>-145.73000000000025</v>
      </c>
      <c r="P115" s="60">
        <f>N115/M115*100</f>
        <v>55.48869883934019</v>
      </c>
      <c r="Q115" s="60">
        <f>N115-50.4</f>
        <v>131.26999999999984</v>
      </c>
      <c r="R115" s="138">
        <f>N115/50.4</f>
        <v>3.6045634920634892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261.79</v>
      </c>
      <c r="G116" s="49">
        <f t="shared" si="37"/>
        <v>39.29000000000002</v>
      </c>
      <c r="H116" s="40">
        <f t="shared" si="39"/>
        <v>117.65842696629214</v>
      </c>
      <c r="I116" s="60">
        <f t="shared" si="38"/>
        <v>-6.310000000000002</v>
      </c>
      <c r="J116" s="60">
        <f t="shared" si="40"/>
        <v>97.64640059679223</v>
      </c>
      <c r="K116" s="60">
        <f>F116-231.4</f>
        <v>30.390000000000015</v>
      </c>
      <c r="L116" s="138">
        <f>F116/231.4</f>
        <v>1.13133102852204</v>
      </c>
      <c r="M116" s="40">
        <f>E116-вересень!E116</f>
        <v>22</v>
      </c>
      <c r="N116" s="40">
        <f>F116-вересень!F116</f>
        <v>24.630000000000024</v>
      </c>
      <c r="O116" s="53">
        <f t="shared" si="41"/>
        <v>2.630000000000024</v>
      </c>
      <c r="P116" s="60">
        <f>N116/M116*100</f>
        <v>111.95454545454557</v>
      </c>
      <c r="Q116" s="60">
        <f>N116-21.4</f>
        <v>3.2300000000000253</v>
      </c>
      <c r="R116" s="138">
        <f>N116/21.4</f>
        <v>1.1509345794392536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1566.35</v>
      </c>
      <c r="G117" s="62">
        <f t="shared" si="37"/>
        <v>-1663.15</v>
      </c>
      <c r="H117" s="72">
        <f t="shared" si="39"/>
        <v>48.5013159931878</v>
      </c>
      <c r="I117" s="61">
        <f t="shared" si="38"/>
        <v>-2373.25</v>
      </c>
      <c r="J117" s="61">
        <f t="shared" si="40"/>
        <v>39.75911260026398</v>
      </c>
      <c r="K117" s="61">
        <f>F117-33371</f>
        <v>-31804.65</v>
      </c>
      <c r="L117" s="139">
        <f>F117/3371</f>
        <v>0.46465440522100265</v>
      </c>
      <c r="M117" s="62">
        <f>M115+M116+M114</f>
        <v>349.4000000000001</v>
      </c>
      <c r="N117" s="38">
        <f>SUM(N114:N116)</f>
        <v>206.39999999999986</v>
      </c>
      <c r="O117" s="61">
        <f t="shared" si="41"/>
        <v>-143.00000000000023</v>
      </c>
      <c r="P117" s="61">
        <f>N117/M117*100</f>
        <v>59.07269605037201</v>
      </c>
      <c r="Q117" s="61">
        <f>N117-71.8</f>
        <v>134.59999999999985</v>
      </c>
      <c r="R117" s="139">
        <f>N117/71.8</f>
        <v>2.8746518105849566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386.28</v>
      </c>
      <c r="G119" s="49">
        <f t="shared" si="37"/>
        <v>125.77999999999997</v>
      </c>
      <c r="H119" s="40">
        <f t="shared" si="39"/>
        <v>148.28406909788868</v>
      </c>
      <c r="I119" s="60">
        <f t="shared" si="38"/>
        <v>119.07999999999998</v>
      </c>
      <c r="J119" s="60">
        <f t="shared" si="40"/>
        <v>144.56586826347305</v>
      </c>
      <c r="K119" s="60">
        <f>F119-234.2</f>
        <v>152.07999999999998</v>
      </c>
      <c r="L119" s="138">
        <f>F119/234.2</f>
        <v>1.6493595217762596</v>
      </c>
      <c r="M119" s="40">
        <f>E119-вересень!E119</f>
        <v>73</v>
      </c>
      <c r="N119" s="40">
        <f>F119-вересень!F119</f>
        <v>72.13</v>
      </c>
      <c r="O119" s="53">
        <f>N119-M119</f>
        <v>-0.8700000000000045</v>
      </c>
      <c r="P119" s="60">
        <f>N119/M119*100</f>
        <v>98.8082191780822</v>
      </c>
      <c r="Q119" s="60">
        <f>N119-59.7</f>
        <v>12.429999999999993</v>
      </c>
      <c r="R119" s="138">
        <f>N119/59.7</f>
        <v>1.2082077051926297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66969</v>
      </c>
      <c r="G120" s="49">
        <f t="shared" si="37"/>
        <v>6956.4000000000015</v>
      </c>
      <c r="H120" s="40">
        <f t="shared" si="39"/>
        <v>111.59156577118804</v>
      </c>
      <c r="I120" s="53">
        <f t="shared" si="38"/>
        <v>-5006.990000000005</v>
      </c>
      <c r="J120" s="60">
        <f t="shared" si="40"/>
        <v>93.04352743185609</v>
      </c>
      <c r="K120" s="60">
        <f>F120-58190.1</f>
        <v>8778.900000000001</v>
      </c>
      <c r="L120" s="138">
        <f>F120/58190.1</f>
        <v>1.1508658689364686</v>
      </c>
      <c r="M120" s="40">
        <f>E120-вересень!E120</f>
        <v>7500</v>
      </c>
      <c r="N120" s="40">
        <f>F120-вересень!F120</f>
        <v>7432.540000000001</v>
      </c>
      <c r="O120" s="53">
        <f t="shared" si="41"/>
        <v>-67.45999999999913</v>
      </c>
      <c r="P120" s="60">
        <f aca="true" t="shared" si="42" ref="P120:P125">N120/M120*100</f>
        <v>99.10053333333335</v>
      </c>
      <c r="Q120" s="60">
        <f>N120-7531</f>
        <v>-98.45999999999913</v>
      </c>
      <c r="R120" s="138">
        <f>N120/7531</f>
        <v>0.9869260390386404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1754.78</v>
      </c>
      <c r="G121" s="49">
        <f t="shared" si="37"/>
        <v>-1444.6200000000001</v>
      </c>
      <c r="H121" s="40">
        <f t="shared" si="39"/>
        <v>54.84715884228293</v>
      </c>
      <c r="I121" s="60">
        <f t="shared" si="38"/>
        <v>-2995.2200000000003</v>
      </c>
      <c r="J121" s="60">
        <f t="shared" si="40"/>
        <v>36.94273684210526</v>
      </c>
      <c r="K121" s="60">
        <f>F121-1289.6</f>
        <v>465.18000000000006</v>
      </c>
      <c r="L121" s="138">
        <f>F121/1289.6</f>
        <v>1.3607165012406948</v>
      </c>
      <c r="M121" s="40">
        <f>E121-вересень!E121</f>
        <v>1476.4</v>
      </c>
      <c r="N121" s="40">
        <f>F121-вересень!F121</f>
        <v>0.049999999999954525</v>
      </c>
      <c r="O121" s="53">
        <f t="shared" si="41"/>
        <v>-1476.3500000000001</v>
      </c>
      <c r="P121" s="60">
        <f t="shared" si="42"/>
        <v>0.0033866160931965944</v>
      </c>
      <c r="Q121" s="60">
        <f>N121-0</f>
        <v>0.049999999999954525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2746.03</v>
      </c>
      <c r="G122" s="49">
        <f t="shared" si="37"/>
        <v>-14830.199999999999</v>
      </c>
      <c r="H122" s="40">
        <f t="shared" si="39"/>
        <v>15.623543843019808</v>
      </c>
      <c r="I122" s="60">
        <f t="shared" si="38"/>
        <v>-20331.100000000002</v>
      </c>
      <c r="J122" s="60">
        <f>F122/D122*100</f>
        <v>11.899356635768834</v>
      </c>
      <c r="K122" s="60">
        <f>F122-22665.8</f>
        <v>-19919.77</v>
      </c>
      <c r="L122" s="138">
        <f>F122/22665.8</f>
        <v>0.1211530146740905</v>
      </c>
      <c r="M122" s="40">
        <f>E122-вересень!E122</f>
        <v>4648.800000000001</v>
      </c>
      <c r="N122" s="40">
        <f>F122-вересень!F122</f>
        <v>352.7900000000004</v>
      </c>
      <c r="O122" s="53">
        <f t="shared" si="41"/>
        <v>-4296.01</v>
      </c>
      <c r="P122" s="60">
        <f t="shared" si="42"/>
        <v>7.588840130786447</v>
      </c>
      <c r="Q122" s="60">
        <f>N122-361.9</f>
        <v>-9.109999999999559</v>
      </c>
      <c r="R122" s="138">
        <f>N122/361.9</f>
        <v>0.9748273003592165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1110.6</v>
      </c>
      <c r="G123" s="49">
        <f t="shared" si="37"/>
        <v>-510.21000000000004</v>
      </c>
      <c r="H123" s="40">
        <f t="shared" si="39"/>
        <v>68.52129490810151</v>
      </c>
      <c r="I123" s="60">
        <f t="shared" si="38"/>
        <v>-889.4000000000001</v>
      </c>
      <c r="J123" s="60">
        <f>F123/D123*100</f>
        <v>55.52999999999999</v>
      </c>
      <c r="K123" s="60">
        <f>F123-1722.8</f>
        <v>-612.2</v>
      </c>
      <c r="L123" s="138">
        <f>F123/1722.8</f>
        <v>0.6446482470397028</v>
      </c>
      <c r="M123" s="40">
        <f>E123-вересень!E123</f>
        <v>189.58999999999992</v>
      </c>
      <c r="N123" s="40">
        <f>F123-вересень!F123</f>
        <v>35.68999999999983</v>
      </c>
      <c r="O123" s="53">
        <f t="shared" si="41"/>
        <v>-153.9000000000001</v>
      </c>
      <c r="P123" s="60">
        <f t="shared" si="42"/>
        <v>18.824832533361384</v>
      </c>
      <c r="Q123" s="60">
        <f>N123-62.5</f>
        <v>-26.810000000000173</v>
      </c>
      <c r="R123" s="138">
        <f>N123/62.5</f>
        <v>0.5710399999999972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72966.69</v>
      </c>
      <c r="G124" s="62">
        <f t="shared" si="37"/>
        <v>-9702.849999999991</v>
      </c>
      <c r="H124" s="72">
        <f t="shared" si="39"/>
        <v>88.26308940390864</v>
      </c>
      <c r="I124" s="61">
        <f t="shared" si="38"/>
        <v>-29103.630000000005</v>
      </c>
      <c r="J124" s="61">
        <f>F124/D124*100</f>
        <v>71.48668682531807</v>
      </c>
      <c r="K124" s="61">
        <f>F124-84102.5</f>
        <v>-11135.809999999998</v>
      </c>
      <c r="L124" s="139">
        <f>F124/84102.5</f>
        <v>0.8675924021283553</v>
      </c>
      <c r="M124" s="62">
        <f>M120+M121+M122+M123+M119</f>
        <v>13887.79</v>
      </c>
      <c r="N124" s="62">
        <f>N120+N121+N122+N123+N119</f>
        <v>7893.200000000001</v>
      </c>
      <c r="O124" s="61">
        <f t="shared" si="41"/>
        <v>-5994.59</v>
      </c>
      <c r="P124" s="61">
        <f t="shared" si="42"/>
        <v>56.835536827673806</v>
      </c>
      <c r="Q124" s="61">
        <f>N124-8015.1</f>
        <v>-121.89999999999964</v>
      </c>
      <c r="R124" s="139">
        <f>N124/8015.1</f>
        <v>0.9847912065975472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31.38</v>
      </c>
      <c r="G125" s="49">
        <f t="shared" si="37"/>
        <v>0.21999999999999886</v>
      </c>
      <c r="H125" s="40">
        <f t="shared" si="39"/>
        <v>100.70603337612323</v>
      </c>
      <c r="I125" s="60">
        <f t="shared" si="38"/>
        <v>-12.120000000000001</v>
      </c>
      <c r="J125" s="60">
        <f>F125/D125*100</f>
        <v>72.13793103448276</v>
      </c>
      <c r="K125" s="60">
        <f>F125-114</f>
        <v>-82.62</v>
      </c>
      <c r="L125" s="138">
        <f>F125/114</f>
        <v>0.2752631578947368</v>
      </c>
      <c r="M125" s="40">
        <f>E125-вересень!E125</f>
        <v>4</v>
      </c>
      <c r="N125" s="40">
        <f>F125-вересень!F125</f>
        <v>7.209999999999997</v>
      </c>
      <c r="O125" s="53">
        <f t="shared" si="41"/>
        <v>3.2099999999999973</v>
      </c>
      <c r="P125" s="60">
        <f t="shared" si="42"/>
        <v>180.24999999999994</v>
      </c>
      <c r="Q125" s="60">
        <f>N125-2.2</f>
        <v>5.009999999999997</v>
      </c>
      <c r="R125" s="138">
        <f>N125/2.2</f>
        <v>3.2772727272727256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7377.55</v>
      </c>
      <c r="G128" s="49">
        <f aca="true" t="shared" si="43" ref="G128:G135">F128-E128</f>
        <v>657.0500000000002</v>
      </c>
      <c r="H128" s="40">
        <f>F128/E128*100</f>
        <v>109.77680232125586</v>
      </c>
      <c r="I128" s="60">
        <f aca="true" t="shared" si="44" ref="I128:I135">F128-D128</f>
        <v>-1322.4499999999998</v>
      </c>
      <c r="J128" s="60">
        <f>F128/D128*100</f>
        <v>84.79942528735633</v>
      </c>
      <c r="K128" s="60">
        <f>F128-8728.7</f>
        <v>-1351.1500000000005</v>
      </c>
      <c r="L128" s="138">
        <f>F128/8728.7</f>
        <v>0.8452060444281507</v>
      </c>
      <c r="M128" s="40">
        <f>E128-вересень!E128</f>
        <v>2</v>
      </c>
      <c r="N128" s="40">
        <f>F128-вересень!F128</f>
        <v>8.670000000000073</v>
      </c>
      <c r="O128" s="53">
        <f aca="true" t="shared" si="45" ref="O128:O135">N128-M128</f>
        <v>6.670000000000073</v>
      </c>
      <c r="P128" s="60">
        <f>N128/M128*100</f>
        <v>433.50000000000364</v>
      </c>
      <c r="Q128" s="60">
        <f>N128-13.5</f>
        <v>-4.829999999999927</v>
      </c>
      <c r="R128" s="162">
        <f>N128/13.5</f>
        <v>0.6422222222222276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1.18</v>
      </c>
      <c r="G129" s="49">
        <f t="shared" si="43"/>
        <v>1.18</v>
      </c>
      <c r="H129" s="40"/>
      <c r="I129" s="60">
        <f t="shared" si="44"/>
        <v>1.18</v>
      </c>
      <c r="J129" s="60"/>
      <c r="K129" s="60">
        <f>F129-1.1</f>
        <v>0.07999999999999985</v>
      </c>
      <c r="L129" s="138">
        <f>F129/1.1</f>
        <v>1.0727272727272725</v>
      </c>
      <c r="M129" s="40">
        <f>E129-вересень!E129</f>
        <v>0</v>
      </c>
      <c r="N129" s="40">
        <f>F129-вересень!F129</f>
        <v>0.09999999999999987</v>
      </c>
      <c r="O129" s="53">
        <f t="shared" si="45"/>
        <v>0.09999999999999987</v>
      </c>
      <c r="P129" s="60"/>
      <c r="Q129" s="60">
        <f>N129-0.1</f>
        <v>-1.3877787807814457E-16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7429.59</v>
      </c>
      <c r="G130" s="62">
        <f t="shared" si="43"/>
        <v>670.7300000000005</v>
      </c>
      <c r="H130" s="72">
        <f>F130/E130*100</f>
        <v>109.92371494601161</v>
      </c>
      <c r="I130" s="61">
        <f t="shared" si="44"/>
        <v>-1321.1100000000006</v>
      </c>
      <c r="J130" s="61">
        <f>F130/D130*100</f>
        <v>84.90280777537797</v>
      </c>
      <c r="K130" s="61">
        <f>F130-8860.9</f>
        <v>-1431.3099999999995</v>
      </c>
      <c r="L130" s="139">
        <f>G130/8860.9</f>
        <v>0.07569547111467238</v>
      </c>
      <c r="M130" s="62">
        <f>M125+M128+M129+M127</f>
        <v>6</v>
      </c>
      <c r="N130" s="62">
        <f>N125+N128+N129+N127</f>
        <v>15.98000000000007</v>
      </c>
      <c r="O130" s="61">
        <f t="shared" si="45"/>
        <v>9.98000000000007</v>
      </c>
      <c r="P130" s="61">
        <f>N130/M130*100</f>
        <v>266.3333333333345</v>
      </c>
      <c r="Q130" s="61">
        <f>N130-24.5</f>
        <v>-8.51999999999993</v>
      </c>
      <c r="R130" s="137">
        <f>N130/24.5</f>
        <v>0.6522448979591865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81995.66</v>
      </c>
      <c r="G134" s="50">
        <f t="shared" si="43"/>
        <v>-10686.089999999997</v>
      </c>
      <c r="H134" s="51">
        <f>F134/E134*100</f>
        <v>88.4701249167177</v>
      </c>
      <c r="I134" s="36">
        <f t="shared" si="44"/>
        <v>-32794.96000000001</v>
      </c>
      <c r="J134" s="36">
        <f>F134/D134*100</f>
        <v>71.43062734568382</v>
      </c>
      <c r="K134" s="36">
        <f>F134-96362.3</f>
        <v>-14366.64</v>
      </c>
      <c r="L134" s="136">
        <f>F134/96362.3</f>
        <v>0.8509101588484294</v>
      </c>
      <c r="M134" s="31">
        <f>M117+M131+M124+M130+M133+M132</f>
        <v>14243.59</v>
      </c>
      <c r="N134" s="31">
        <f>N117+N131+N124+N130+N133+N132</f>
        <v>8116.750000000001</v>
      </c>
      <c r="O134" s="36">
        <f t="shared" si="45"/>
        <v>-6126.839999999999</v>
      </c>
      <c r="P134" s="36">
        <f>N134/M134*100</f>
        <v>56.985282502515176</v>
      </c>
      <c r="Q134" s="36">
        <f>N134-8114</f>
        <v>2.7500000000009095</v>
      </c>
      <c r="R134" s="136">
        <f>N134/8114</f>
        <v>1.0003389203845208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471023.44999999995</v>
      </c>
      <c r="G135" s="50">
        <f t="shared" si="43"/>
        <v>-26385.639999999956</v>
      </c>
      <c r="H135" s="51">
        <f>F135/E135*100</f>
        <v>94.69538443698326</v>
      </c>
      <c r="I135" s="36">
        <f t="shared" si="44"/>
        <v>-150646.77000000002</v>
      </c>
      <c r="J135" s="36">
        <f>F135/D135*100</f>
        <v>75.76741411226035</v>
      </c>
      <c r="K135" s="36">
        <f>F135-494255.9</f>
        <v>-23232.45000000007</v>
      </c>
      <c r="L135" s="136">
        <f>F135/494255.9</f>
        <v>0.9529950982881539</v>
      </c>
      <c r="M135" s="22">
        <f>M107+M134</f>
        <v>55407.88999999997</v>
      </c>
      <c r="N135" s="22">
        <f>N107+N134</f>
        <v>39074.787</v>
      </c>
      <c r="O135" s="36">
        <f t="shared" si="45"/>
        <v>-16333.102999999974</v>
      </c>
      <c r="P135" s="36">
        <f>N135/M135*100</f>
        <v>70.52206283256774</v>
      </c>
      <c r="Q135" s="36">
        <f>N135-47119.1</f>
        <v>-8044.313000000002</v>
      </c>
      <c r="R135" s="136">
        <f>N135/47119.1</f>
        <v>0.82927702354247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3</v>
      </c>
      <c r="D137" s="4" t="s">
        <v>118</v>
      </c>
    </row>
    <row r="138" spans="2:17" ht="31.5">
      <c r="B138" s="78" t="s">
        <v>154</v>
      </c>
      <c r="C138" s="39">
        <f>IF(O107&lt;0,ABS(O107/C137),0)</f>
        <v>3402.0876666666604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41940</v>
      </c>
      <c r="D139" s="39">
        <v>1735.4</v>
      </c>
      <c r="N139" s="211"/>
      <c r="O139" s="211"/>
    </row>
    <row r="140" spans="3:15" ht="15.75">
      <c r="C140" s="120">
        <v>41939</v>
      </c>
      <c r="D140" s="39">
        <v>752.6</v>
      </c>
      <c r="F140" s="4" t="s">
        <v>166</v>
      </c>
      <c r="G140" s="179" t="s">
        <v>151</v>
      </c>
      <c r="H140" s="179"/>
      <c r="I140" s="115">
        <v>9020.59653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41936</v>
      </c>
      <c r="D141" s="39">
        <v>697.6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116082.21882</v>
      </c>
      <c r="E143" s="80"/>
      <c r="F143" s="100" t="s">
        <v>147</v>
      </c>
      <c r="G143" s="179" t="s">
        <v>149</v>
      </c>
      <c r="H143" s="179"/>
      <c r="I143" s="116">
        <v>107061.62228999998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7735.344789999999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3" t="s">
        <v>183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1" t="s">
        <v>192</v>
      </c>
      <c r="E3" s="46"/>
      <c r="F3" s="222" t="s">
        <v>107</v>
      </c>
      <c r="G3" s="223"/>
      <c r="H3" s="223"/>
      <c r="I3" s="223"/>
      <c r="J3" s="224"/>
      <c r="K3" s="123"/>
      <c r="L3" s="123"/>
      <c r="M3" s="204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5"/>
      <c r="B4" s="187"/>
      <c r="C4" s="188"/>
      <c r="D4" s="221"/>
      <c r="E4" s="226" t="s">
        <v>153</v>
      </c>
      <c r="F4" s="228" t="s">
        <v>116</v>
      </c>
      <c r="G4" s="230" t="s">
        <v>175</v>
      </c>
      <c r="H4" s="200" t="s">
        <v>176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36"/>
      <c r="N4" s="181" t="s">
        <v>186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1"/>
      <c r="E5" s="227"/>
      <c r="F5" s="229"/>
      <c r="G5" s="231"/>
      <c r="H5" s="201"/>
      <c r="I5" s="233"/>
      <c r="J5" s="235"/>
      <c r="K5" s="208" t="s">
        <v>177</v>
      </c>
      <c r="L5" s="209"/>
      <c r="M5" s="205"/>
      <c r="N5" s="182"/>
      <c r="O5" s="233"/>
      <c r="P5" s="220"/>
      <c r="Q5" s="208" t="s">
        <v>179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11"/>
      <c r="O138" s="211"/>
    </row>
    <row r="139" spans="3:15" ht="15.75">
      <c r="C139" s="120">
        <v>41669</v>
      </c>
      <c r="D139" s="39">
        <v>4752.2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41668</v>
      </c>
      <c r="D140" s="39">
        <v>1984.7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111410.62</v>
      </c>
      <c r="E142" s="80"/>
      <c r="F142" s="100" t="s">
        <v>147</v>
      </c>
      <c r="G142" s="179" t="s">
        <v>149</v>
      </c>
      <c r="H142" s="179"/>
      <c r="I142" s="116">
        <v>97585.4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272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269</v>
      </c>
      <c r="H4" s="200" t="s">
        <v>270</v>
      </c>
      <c r="I4" s="202" t="s">
        <v>188</v>
      </c>
      <c r="J4" s="204" t="s">
        <v>189</v>
      </c>
      <c r="K4" s="206" t="s">
        <v>274</v>
      </c>
      <c r="L4" s="207"/>
      <c r="M4" s="194"/>
      <c r="N4" s="181" t="s">
        <v>277</v>
      </c>
      <c r="O4" s="202" t="s">
        <v>136</v>
      </c>
      <c r="P4" s="202" t="s">
        <v>135</v>
      </c>
      <c r="Q4" s="206" t="s">
        <v>275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268</v>
      </c>
      <c r="F5" s="197"/>
      <c r="G5" s="199"/>
      <c r="H5" s="201"/>
      <c r="I5" s="203"/>
      <c r="J5" s="205"/>
      <c r="K5" s="208"/>
      <c r="L5" s="209"/>
      <c r="M5" s="151" t="s">
        <v>271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211"/>
      <c r="O139" s="211"/>
    </row>
    <row r="140" spans="3:15" ht="15.75">
      <c r="C140" s="120">
        <v>41911</v>
      </c>
      <c r="D140" s="39">
        <v>4937.4</v>
      </c>
      <c r="F140" s="4" t="s">
        <v>166</v>
      </c>
      <c r="G140" s="179" t="s">
        <v>151</v>
      </c>
      <c r="H140" s="179"/>
      <c r="I140" s="115">
        <f>9020596.53/1000</f>
        <v>9020.596529999999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41908</v>
      </c>
      <c r="D141" s="39">
        <v>1468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121201109.21/1000</f>
        <v>121201.10921</v>
      </c>
      <c r="E143" s="80"/>
      <c r="F143" s="100" t="s">
        <v>147</v>
      </c>
      <c r="G143" s="179" t="s">
        <v>149</v>
      </c>
      <c r="H143" s="179"/>
      <c r="I143" s="116">
        <f>112180512.68/1000</f>
        <v>112180.51268000001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17426016.57/1000</f>
        <v>17426.01657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261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259</v>
      </c>
      <c r="H4" s="200" t="s">
        <v>260</v>
      </c>
      <c r="I4" s="202" t="s">
        <v>188</v>
      </c>
      <c r="J4" s="204" t="s">
        <v>189</v>
      </c>
      <c r="K4" s="206" t="s">
        <v>264</v>
      </c>
      <c r="L4" s="207"/>
      <c r="M4" s="194"/>
      <c r="N4" s="181" t="s">
        <v>267</v>
      </c>
      <c r="O4" s="202" t="s">
        <v>136</v>
      </c>
      <c r="P4" s="202" t="s">
        <v>135</v>
      </c>
      <c r="Q4" s="206" t="s">
        <v>265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258</v>
      </c>
      <c r="F5" s="197"/>
      <c r="G5" s="199"/>
      <c r="H5" s="201"/>
      <c r="I5" s="203"/>
      <c r="J5" s="205"/>
      <c r="K5" s="208"/>
      <c r="L5" s="209"/>
      <c r="M5" s="151" t="s">
        <v>262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11"/>
      <c r="O139" s="211"/>
    </row>
    <row r="140" spans="3:15" ht="15.75">
      <c r="C140" s="120">
        <v>41879</v>
      </c>
      <c r="D140" s="39">
        <v>3653.6</v>
      </c>
      <c r="F140" s="4" t="s">
        <v>166</v>
      </c>
      <c r="G140" s="179" t="s">
        <v>151</v>
      </c>
      <c r="H140" s="179"/>
      <c r="I140" s="115">
        <v>13829.857960000001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41878</v>
      </c>
      <c r="D141" s="39">
        <v>1194.3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127799.14</v>
      </c>
      <c r="E143" s="80"/>
      <c r="F143" s="100" t="s">
        <v>147</v>
      </c>
      <c r="G143" s="179" t="s">
        <v>149</v>
      </c>
      <c r="H143" s="179"/>
      <c r="I143" s="116">
        <v>113969.28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18493.9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252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249</v>
      </c>
      <c r="H4" s="200" t="s">
        <v>250</v>
      </c>
      <c r="I4" s="202" t="s">
        <v>188</v>
      </c>
      <c r="J4" s="204" t="s">
        <v>189</v>
      </c>
      <c r="K4" s="206" t="s">
        <v>254</v>
      </c>
      <c r="L4" s="207"/>
      <c r="M4" s="194"/>
      <c r="N4" s="181" t="s">
        <v>257</v>
      </c>
      <c r="O4" s="202" t="s">
        <v>136</v>
      </c>
      <c r="P4" s="202" t="s">
        <v>135</v>
      </c>
      <c r="Q4" s="206" t="s">
        <v>255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248</v>
      </c>
      <c r="F5" s="197"/>
      <c r="G5" s="199"/>
      <c r="H5" s="201"/>
      <c r="I5" s="203"/>
      <c r="J5" s="205"/>
      <c r="K5" s="208"/>
      <c r="L5" s="209"/>
      <c r="M5" s="151" t="s">
        <v>251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11"/>
      <c r="O139" s="211"/>
    </row>
    <row r="140" spans="3:15" ht="15.75">
      <c r="C140" s="120">
        <v>41850</v>
      </c>
      <c r="D140" s="39">
        <v>4320</v>
      </c>
      <c r="F140" s="4" t="s">
        <v>166</v>
      </c>
      <c r="G140" s="179" t="s">
        <v>151</v>
      </c>
      <c r="H140" s="179"/>
      <c r="I140" s="115">
        <f>13825221.96/1000</f>
        <v>13825.22196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41849</v>
      </c>
      <c r="D141" s="39">
        <v>4403.7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120856761.09/1000</f>
        <v>120856.76109</v>
      </c>
      <c r="E143" s="80"/>
      <c r="F143" s="100" t="s">
        <v>147</v>
      </c>
      <c r="G143" s="179" t="s">
        <v>149</v>
      </c>
      <c r="H143" s="179"/>
      <c r="I143" s="116">
        <f>107031539.13/1000</f>
        <v>107031.53912999999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26199804.73/1000</f>
        <v>26199.80473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243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238</v>
      </c>
      <c r="H4" s="200" t="s">
        <v>239</v>
      </c>
      <c r="I4" s="202" t="s">
        <v>188</v>
      </c>
      <c r="J4" s="204" t="s">
        <v>189</v>
      </c>
      <c r="K4" s="206" t="s">
        <v>240</v>
      </c>
      <c r="L4" s="207"/>
      <c r="M4" s="194"/>
      <c r="N4" s="181" t="s">
        <v>247</v>
      </c>
      <c r="O4" s="202" t="s">
        <v>136</v>
      </c>
      <c r="P4" s="202" t="s">
        <v>135</v>
      </c>
      <c r="Q4" s="206" t="s">
        <v>242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237</v>
      </c>
      <c r="F5" s="197"/>
      <c r="G5" s="199"/>
      <c r="H5" s="201"/>
      <c r="I5" s="203"/>
      <c r="J5" s="205"/>
      <c r="K5" s="208"/>
      <c r="L5" s="209"/>
      <c r="M5" s="151" t="s">
        <v>241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11"/>
      <c r="O139" s="211"/>
    </row>
    <row r="140" spans="3:15" ht="15.75">
      <c r="C140" s="120">
        <v>41816</v>
      </c>
      <c r="D140" s="39">
        <v>4277.2</v>
      </c>
      <c r="F140" s="4" t="s">
        <v>166</v>
      </c>
      <c r="G140" s="179" t="s">
        <v>151</v>
      </c>
      <c r="H140" s="179"/>
      <c r="I140" s="115">
        <f>'[1]залишки  (2)'!$G$9/1000</f>
        <v>9020.59653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41815</v>
      </c>
      <c r="D141" s="39">
        <v>1877.7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117976.29</v>
      </c>
      <c r="E143" s="80"/>
      <c r="F143" s="100" t="s">
        <v>147</v>
      </c>
      <c r="G143" s="179" t="s">
        <v>149</v>
      </c>
      <c r="H143" s="179"/>
      <c r="I143" s="116">
        <v>104151.07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41386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233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229</v>
      </c>
      <c r="H4" s="200" t="s">
        <v>230</v>
      </c>
      <c r="I4" s="202" t="s">
        <v>188</v>
      </c>
      <c r="J4" s="204" t="s">
        <v>189</v>
      </c>
      <c r="K4" s="206" t="s">
        <v>231</v>
      </c>
      <c r="L4" s="207"/>
      <c r="M4" s="194"/>
      <c r="N4" s="181" t="s">
        <v>236</v>
      </c>
      <c r="O4" s="202" t="s">
        <v>136</v>
      </c>
      <c r="P4" s="202" t="s">
        <v>135</v>
      </c>
      <c r="Q4" s="206" t="s">
        <v>234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228</v>
      </c>
      <c r="F5" s="197"/>
      <c r="G5" s="199"/>
      <c r="H5" s="201"/>
      <c r="I5" s="203"/>
      <c r="J5" s="205"/>
      <c r="K5" s="208"/>
      <c r="L5" s="209"/>
      <c r="M5" s="151" t="s">
        <v>232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11"/>
      <c r="O138" s="211"/>
    </row>
    <row r="139" spans="3:15" ht="15.75">
      <c r="C139" s="120">
        <v>41788</v>
      </c>
      <c r="D139" s="39">
        <v>5993.3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41787</v>
      </c>
      <c r="D140" s="39">
        <v>2595.2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118982.48</v>
      </c>
      <c r="E142" s="80"/>
      <c r="F142" s="100" t="s">
        <v>147</v>
      </c>
      <c r="G142" s="179" t="s">
        <v>149</v>
      </c>
      <c r="H142" s="179"/>
      <c r="I142" s="116">
        <v>105157.26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27359.4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221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217</v>
      </c>
      <c r="H4" s="200" t="s">
        <v>218</v>
      </c>
      <c r="I4" s="202" t="s">
        <v>188</v>
      </c>
      <c r="J4" s="204" t="s">
        <v>189</v>
      </c>
      <c r="K4" s="206" t="s">
        <v>219</v>
      </c>
      <c r="L4" s="207"/>
      <c r="M4" s="194"/>
      <c r="N4" s="181" t="s">
        <v>227</v>
      </c>
      <c r="O4" s="202" t="s">
        <v>136</v>
      </c>
      <c r="P4" s="202" t="s">
        <v>135</v>
      </c>
      <c r="Q4" s="206" t="s">
        <v>222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216</v>
      </c>
      <c r="F5" s="197"/>
      <c r="G5" s="199"/>
      <c r="H5" s="201"/>
      <c r="I5" s="203"/>
      <c r="J5" s="205"/>
      <c r="K5" s="208"/>
      <c r="L5" s="209"/>
      <c r="M5" s="151" t="s">
        <v>220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11"/>
      <c r="O138" s="211"/>
    </row>
    <row r="139" spans="3:15" ht="15.75">
      <c r="C139" s="120">
        <v>41758</v>
      </c>
      <c r="D139" s="39">
        <v>5440.9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41757</v>
      </c>
      <c r="D140" s="39">
        <v>1923.2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123251.48</v>
      </c>
      <c r="E142" s="80"/>
      <c r="F142" s="100" t="s">
        <v>147</v>
      </c>
      <c r="G142" s="179" t="s">
        <v>149</v>
      </c>
      <c r="H142" s="179"/>
      <c r="I142" s="116">
        <v>109426.25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f>'[1]надх'!$B$52/1000</f>
        <v>7735.344789999999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208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210</v>
      </c>
      <c r="N3" s="195" t="s">
        <v>198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207</v>
      </c>
      <c r="H4" s="200" t="s">
        <v>195</v>
      </c>
      <c r="I4" s="202" t="s">
        <v>188</v>
      </c>
      <c r="J4" s="204" t="s">
        <v>189</v>
      </c>
      <c r="K4" s="206" t="s">
        <v>196</v>
      </c>
      <c r="L4" s="207"/>
      <c r="M4" s="194"/>
      <c r="N4" s="181" t="s">
        <v>213</v>
      </c>
      <c r="O4" s="202" t="s">
        <v>136</v>
      </c>
      <c r="P4" s="202" t="s">
        <v>135</v>
      </c>
      <c r="Q4" s="206" t="s">
        <v>197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214</v>
      </c>
      <c r="F5" s="197"/>
      <c r="G5" s="199"/>
      <c r="H5" s="201"/>
      <c r="I5" s="203"/>
      <c r="J5" s="205"/>
      <c r="K5" s="208"/>
      <c r="L5" s="209"/>
      <c r="M5" s="151" t="s">
        <v>211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11"/>
      <c r="O138" s="211"/>
    </row>
    <row r="139" spans="3:15" ht="15.75">
      <c r="C139" s="120">
        <v>41726</v>
      </c>
      <c r="D139" s="39">
        <v>4682.6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41725</v>
      </c>
      <c r="D140" s="39">
        <v>3360.7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114985.02570999999</v>
      </c>
      <c r="E142" s="80"/>
      <c r="F142" s="100" t="s">
        <v>147</v>
      </c>
      <c r="G142" s="179" t="s">
        <v>149</v>
      </c>
      <c r="H142" s="179"/>
      <c r="I142" s="116">
        <v>101159.80375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3918.1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3" t="s">
        <v>193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1" t="s">
        <v>187</v>
      </c>
      <c r="E3" s="46"/>
      <c r="F3" s="222" t="s">
        <v>107</v>
      </c>
      <c r="G3" s="223"/>
      <c r="H3" s="223"/>
      <c r="I3" s="223"/>
      <c r="J3" s="224"/>
      <c r="K3" s="123"/>
      <c r="L3" s="123"/>
      <c r="M3" s="225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5"/>
      <c r="B4" s="187"/>
      <c r="C4" s="188"/>
      <c r="D4" s="221"/>
      <c r="E4" s="226" t="s">
        <v>191</v>
      </c>
      <c r="F4" s="228" t="s">
        <v>116</v>
      </c>
      <c r="G4" s="230" t="s">
        <v>167</v>
      </c>
      <c r="H4" s="200" t="s">
        <v>168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25"/>
      <c r="N4" s="181" t="s">
        <v>194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1"/>
      <c r="E5" s="227"/>
      <c r="F5" s="229"/>
      <c r="G5" s="231"/>
      <c r="H5" s="201"/>
      <c r="I5" s="233"/>
      <c r="J5" s="235"/>
      <c r="K5" s="208" t="s">
        <v>184</v>
      </c>
      <c r="L5" s="209"/>
      <c r="M5" s="225"/>
      <c r="N5" s="182"/>
      <c r="O5" s="233"/>
      <c r="P5" s="220"/>
      <c r="Q5" s="208" t="s">
        <v>199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11"/>
      <c r="O138" s="211"/>
    </row>
    <row r="139" spans="3:15" ht="15.75">
      <c r="C139" s="120">
        <v>41697</v>
      </c>
      <c r="D139" s="39">
        <v>2276.8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41696</v>
      </c>
      <c r="D140" s="39">
        <v>3746.1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f>'[1]залишки  (2)'!$G$8/1000</f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121970.53</v>
      </c>
      <c r="E142" s="80"/>
      <c r="F142" s="100" t="s">
        <v>147</v>
      </c>
      <c r="G142" s="179" t="s">
        <v>149</v>
      </c>
      <c r="H142" s="179"/>
      <c r="I142" s="116">
        <v>108145.31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2014-10-28T09:45:19Z</cp:lastPrinted>
  <dcterms:created xsi:type="dcterms:W3CDTF">2003-07-28T11:27:56Z</dcterms:created>
  <dcterms:modified xsi:type="dcterms:W3CDTF">2014-10-29T14:54:19Z</dcterms:modified>
  <cp:category/>
  <cp:version/>
  <cp:contentType/>
  <cp:contentStatus/>
</cp:coreProperties>
</file>